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Z:\Finances\Subsides accordés\Subsides 2023\"/>
    </mc:Choice>
  </mc:AlternateContent>
  <xr:revisionPtr revIDLastSave="0" documentId="8_{A0D56048-C6EE-46DE-91A7-C7A727F09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3" r:id="rId2"/>
    <sheet name="Réca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3" l="1"/>
  <c r="L3" i="3"/>
  <c r="L2" i="3"/>
  <c r="S9" i="1"/>
  <c r="S10" i="1"/>
  <c r="C11" i="1" s="1"/>
  <c r="AD15" i="1"/>
  <c r="AB15" i="1"/>
  <c r="AB16" i="1" s="1"/>
  <c r="C17" i="2"/>
  <c r="E1" i="1"/>
  <c r="B5" i="1"/>
  <c r="C12" i="1" l="1"/>
  <c r="C13" i="1" s="1"/>
  <c r="C16" i="1" s="1"/>
  <c r="R12" i="1"/>
  <c r="R13" i="1" s="1"/>
  <c r="R14" i="1" l="1"/>
  <c r="D11" i="1" l="1"/>
  <c r="D12" i="1" s="1"/>
  <c r="F11" i="1"/>
  <c r="F12" i="1" s="1"/>
  <c r="K11" i="1"/>
  <c r="K12" i="1"/>
  <c r="I11" i="1"/>
  <c r="I12" i="1" s="1"/>
  <c r="I13" i="1" s="1"/>
  <c r="N11" i="1"/>
  <c r="N12" i="1" s="1"/>
  <c r="N13" i="1" s="1"/>
  <c r="N16" i="1" s="1"/>
  <c r="O11" i="1"/>
  <c r="O12" i="1" s="1"/>
  <c r="E11" i="1"/>
  <c r="E12" i="1" s="1"/>
  <c r="E13" i="1" s="1"/>
  <c r="E16" i="1" s="1"/>
  <c r="M11" i="1"/>
  <c r="M12" i="1" s="1"/>
  <c r="L11" i="1"/>
  <c r="L12" i="1" s="1"/>
  <c r="L13" i="1" s="1"/>
  <c r="L16" i="1" s="1"/>
  <c r="G11" i="1"/>
  <c r="G12" i="1" s="1"/>
  <c r="J11" i="1"/>
  <c r="J12" i="1" s="1"/>
  <c r="J13" i="1" s="1"/>
  <c r="J16" i="1" s="1"/>
  <c r="H11" i="1"/>
  <c r="H12" i="1" s="1"/>
  <c r="H13" i="1" s="1"/>
  <c r="P11" i="1"/>
  <c r="P12" i="1"/>
  <c r="P13" i="1" s="1"/>
  <c r="P16" i="1" s="1"/>
  <c r="Q11" i="1"/>
  <c r="Q12" i="1"/>
  <c r="B11" i="1"/>
  <c r="B12" i="1" s="1"/>
  <c r="P14" i="1" l="1"/>
  <c r="Q13" i="1"/>
  <c r="Q16" i="1" s="1"/>
  <c r="K13" i="1"/>
  <c r="K16" i="1" s="1"/>
  <c r="F13" i="1"/>
  <c r="F16" i="1" s="1"/>
  <c r="D13" i="1"/>
  <c r="D16" i="1" s="1"/>
  <c r="O13" i="1"/>
  <c r="O16" i="1" s="1"/>
  <c r="I14" i="1"/>
  <c r="I16" i="1"/>
  <c r="G13" i="1"/>
  <c r="G16" i="1" s="1"/>
  <c r="B13" i="1"/>
  <c r="B16" i="1" s="1"/>
  <c r="M13" i="1"/>
  <c r="M16" i="1" s="1"/>
  <c r="H14" i="1"/>
  <c r="H16" i="1"/>
  <c r="L14" i="1"/>
  <c r="N14" i="1"/>
  <c r="J14" i="1"/>
  <c r="E14" i="1"/>
  <c r="S11" i="1"/>
  <c r="M14" i="1" l="1"/>
  <c r="D14" i="1"/>
  <c r="Q14" i="1"/>
  <c r="S16" i="1"/>
  <c r="C17" i="1" s="1"/>
  <c r="K14" i="1"/>
  <c r="O14" i="1"/>
  <c r="C14" i="1"/>
  <c r="B14" i="1"/>
  <c r="F14" i="1"/>
  <c r="G14" i="1"/>
  <c r="S14" i="1" l="1"/>
  <c r="R17" i="1"/>
  <c r="E17" i="1"/>
  <c r="J17" i="1"/>
  <c r="P17" i="1"/>
  <c r="Q17" i="1"/>
  <c r="L17" i="1"/>
  <c r="K17" i="1"/>
  <c r="K18" i="1" s="1"/>
  <c r="K19" i="1" s="1"/>
  <c r="N17" i="1"/>
  <c r="N18" i="1" s="1"/>
  <c r="N19" i="1" s="1"/>
  <c r="B17" i="1"/>
  <c r="B18" i="1" s="1"/>
  <c r="B19" i="1" s="1"/>
  <c r="O17" i="1"/>
  <c r="O18" i="1" s="1"/>
  <c r="O19" i="1" s="1"/>
  <c r="F17" i="1"/>
  <c r="F18" i="1" s="1"/>
  <c r="F19" i="1" s="1"/>
  <c r="C18" i="1"/>
  <c r="C19" i="1" s="1"/>
  <c r="D17" i="1"/>
  <c r="M17" i="1"/>
  <c r="G17" i="1"/>
  <c r="H17" i="1"/>
  <c r="I17" i="1"/>
  <c r="I18" i="1" s="1"/>
  <c r="I19" i="1" s="1"/>
  <c r="I20" i="1" s="1"/>
  <c r="F20" i="1" l="1"/>
  <c r="F23" i="1" s="1"/>
  <c r="I23" i="1"/>
  <c r="O20" i="1"/>
  <c r="O23" i="1" s="1"/>
  <c r="N20" i="1"/>
  <c r="N23" i="1" s="1"/>
  <c r="H18" i="1"/>
  <c r="H19" i="1" s="1"/>
  <c r="M18" i="1"/>
  <c r="M19" i="1" s="1"/>
  <c r="C20" i="1"/>
  <c r="C23" i="1" s="1"/>
  <c r="B20" i="1"/>
  <c r="B23" i="1" s="1"/>
  <c r="K20" i="1"/>
  <c r="K23" i="1" s="1"/>
  <c r="L18" i="1"/>
  <c r="L19" i="1" s="1"/>
  <c r="Q18" i="1"/>
  <c r="Q19" i="1" s="1"/>
  <c r="P18" i="1"/>
  <c r="P19" i="1" s="1"/>
  <c r="G18" i="1"/>
  <c r="G19" i="1" s="1"/>
  <c r="J18" i="1"/>
  <c r="J19" i="1" s="1"/>
  <c r="E18" i="1"/>
  <c r="E19" i="1" s="1"/>
  <c r="D18" i="1"/>
  <c r="D19" i="1" s="1"/>
  <c r="R18" i="1"/>
  <c r="R19" i="1" s="1"/>
  <c r="R32" i="1" s="1"/>
  <c r="R35" i="1" s="1"/>
  <c r="C21" i="1" l="1"/>
  <c r="O21" i="1"/>
  <c r="R20" i="1"/>
  <c r="H20" i="1"/>
  <c r="H23" i="1" s="1"/>
  <c r="M20" i="1"/>
  <c r="M23" i="1" s="1"/>
  <c r="L20" i="1"/>
  <c r="L23" i="1" s="1"/>
  <c r="D20" i="1"/>
  <c r="D23" i="1" s="1"/>
  <c r="E20" i="1"/>
  <c r="E23" i="1" s="1"/>
  <c r="J20" i="1"/>
  <c r="J23" i="1" s="1"/>
  <c r="G20" i="1"/>
  <c r="G23" i="1" s="1"/>
  <c r="P20" i="1"/>
  <c r="P23" i="1" s="1"/>
  <c r="N21" i="1"/>
  <c r="Q20" i="1"/>
  <c r="Q23" i="1" s="1"/>
  <c r="K21" i="1"/>
  <c r="I21" i="1"/>
  <c r="B21" i="1"/>
  <c r="F21" i="1"/>
  <c r="R21" i="1" l="1"/>
  <c r="R33" i="1"/>
  <c r="S23" i="1"/>
  <c r="B24" i="1" s="1"/>
  <c r="H21" i="1"/>
  <c r="L21" i="1"/>
  <c r="M21" i="1"/>
  <c r="P21" i="1"/>
  <c r="J21" i="1"/>
  <c r="R24" i="1"/>
  <c r="N24" i="1"/>
  <c r="Q21" i="1"/>
  <c r="D21" i="1"/>
  <c r="G21" i="1"/>
  <c r="E21" i="1"/>
  <c r="J24" i="1" l="1"/>
  <c r="G24" i="1"/>
  <c r="O24" i="1"/>
  <c r="C24" i="1"/>
  <c r="E24" i="1"/>
  <c r="E25" i="1" s="1"/>
  <c r="E26" i="1" s="1"/>
  <c r="F24" i="1"/>
  <c r="K24" i="1"/>
  <c r="I24" i="1"/>
  <c r="D24" i="1"/>
  <c r="Q24" i="1"/>
  <c r="P24" i="1"/>
  <c r="H24" i="1"/>
  <c r="M24" i="1"/>
  <c r="S21" i="1"/>
  <c r="L24" i="1"/>
  <c r="Q25" i="1" l="1"/>
  <c r="Q26" i="1" s="1"/>
  <c r="J25" i="1"/>
  <c r="J26" i="1" s="1"/>
  <c r="C25" i="1"/>
  <c r="C26" i="1" s="1"/>
  <c r="K25" i="1"/>
  <c r="K26" i="1" s="1"/>
  <c r="F25" i="1"/>
  <c r="F26" i="1" s="1"/>
  <c r="B25" i="1"/>
  <c r="B26" i="1" s="1"/>
  <c r="B27" i="1" s="1"/>
  <c r="N25" i="1"/>
  <c r="N26" i="1" s="1"/>
  <c r="L25" i="1"/>
  <c r="L26" i="1" s="1"/>
  <c r="L27" i="1" s="1"/>
  <c r="L30" i="1" s="1"/>
  <c r="D25" i="1"/>
  <c r="D26" i="1" s="1"/>
  <c r="D27" i="1" s="1"/>
  <c r="D30" i="1" s="1"/>
  <c r="R25" i="1"/>
  <c r="R26" i="1" s="1"/>
  <c r="R27" i="1" s="1"/>
  <c r="R37" i="1" s="1"/>
  <c r="G25" i="1"/>
  <c r="G26" i="1" s="1"/>
  <c r="G27" i="1" s="1"/>
  <c r="G30" i="1" s="1"/>
  <c r="H25" i="1"/>
  <c r="H26" i="1" s="1"/>
  <c r="H27" i="1" s="1"/>
  <c r="H30" i="1" s="1"/>
  <c r="P25" i="1"/>
  <c r="P26" i="1" s="1"/>
  <c r="P27" i="1" s="1"/>
  <c r="P30" i="1" s="1"/>
  <c r="M25" i="1"/>
  <c r="M26" i="1" s="1"/>
  <c r="I25" i="1"/>
  <c r="I26" i="1" s="1"/>
  <c r="I27" i="1" s="1"/>
  <c r="I30" i="1" s="1"/>
  <c r="O25" i="1"/>
  <c r="O26" i="1" s="1"/>
  <c r="O27" i="1" s="1"/>
  <c r="O30" i="1" s="1"/>
  <c r="C27" i="1"/>
  <c r="C30" i="1" s="1"/>
  <c r="K27" i="1"/>
  <c r="K30" i="1" s="1"/>
  <c r="J27" i="1"/>
  <c r="J30" i="1" s="1"/>
  <c r="F27" i="1"/>
  <c r="F30" i="1" s="1"/>
  <c r="N27" i="1"/>
  <c r="N30" i="1" s="1"/>
  <c r="E27" i="1"/>
  <c r="E30" i="1" s="1"/>
  <c r="M27" i="1"/>
  <c r="M30" i="1" s="1"/>
  <c r="Q27" i="1"/>
  <c r="Q30" i="1" s="1"/>
  <c r="B30" i="1" l="1"/>
  <c r="M28" i="1"/>
  <c r="I28" i="1"/>
  <c r="B28" i="1"/>
  <c r="E28" i="1"/>
  <c r="R28" i="1"/>
  <c r="R31" i="1" s="1"/>
  <c r="R34" i="1" s="1"/>
  <c r="N28" i="1"/>
  <c r="J28" i="1"/>
  <c r="K28" i="1"/>
  <c r="F28" i="1"/>
  <c r="G28" i="1"/>
  <c r="D28" i="1"/>
  <c r="H28" i="1"/>
  <c r="L28" i="1"/>
  <c r="Q28" i="1"/>
  <c r="O28" i="1"/>
  <c r="P28" i="1"/>
  <c r="C28" i="1"/>
  <c r="S30" i="1" l="1"/>
  <c r="S28" i="1"/>
  <c r="P31" i="1" l="1"/>
  <c r="P32" i="1" s="1"/>
  <c r="P33" i="1" s="1"/>
  <c r="J31" i="1"/>
  <c r="J32" i="1" s="1"/>
  <c r="J33" i="1" s="1"/>
  <c r="H31" i="1"/>
  <c r="H32" i="1" s="1"/>
  <c r="H33" i="1" s="1"/>
  <c r="E31" i="1"/>
  <c r="E32" i="1" s="1"/>
  <c r="E33" i="1" s="1"/>
  <c r="Q31" i="1"/>
  <c r="Q32" i="1" s="1"/>
  <c r="Q33" i="1" s="1"/>
  <c r="C31" i="1"/>
  <c r="C32" i="1" s="1"/>
  <c r="C33" i="1" s="1"/>
  <c r="O31" i="1"/>
  <c r="O32" i="1" s="1"/>
  <c r="O33" i="1" s="1"/>
  <c r="L31" i="1"/>
  <c r="L32" i="1" s="1"/>
  <c r="L33" i="1" s="1"/>
  <c r="M31" i="1"/>
  <c r="M32" i="1" s="1"/>
  <c r="M33" i="1" s="1"/>
  <c r="N31" i="1"/>
  <c r="N32" i="1" s="1"/>
  <c r="N33" i="1" s="1"/>
  <c r="D31" i="1"/>
  <c r="D32" i="1" s="1"/>
  <c r="D33" i="1" s="1"/>
  <c r="K31" i="1"/>
  <c r="K32" i="1" s="1"/>
  <c r="K33" i="1" s="1"/>
  <c r="F31" i="1"/>
  <c r="F32" i="1" s="1"/>
  <c r="F33" i="1" s="1"/>
  <c r="I31" i="1"/>
  <c r="I32" i="1" s="1"/>
  <c r="I33" i="1" s="1"/>
  <c r="G31" i="1"/>
  <c r="G32" i="1" s="1"/>
  <c r="G33" i="1" s="1"/>
  <c r="B31" i="1"/>
  <c r="B32" i="1" s="1"/>
  <c r="B33" i="1" s="1"/>
  <c r="N34" i="1" l="1"/>
  <c r="N37" i="1" s="1"/>
  <c r="E34" i="1"/>
  <c r="E37" i="1" s="1"/>
  <c r="E35" i="1"/>
  <c r="D34" i="1"/>
  <c r="D37" i="1" s="1"/>
  <c r="M34" i="1"/>
  <c r="M37" i="1" s="1"/>
  <c r="C34" i="1"/>
  <c r="C37" i="1" s="1"/>
  <c r="Q34" i="1"/>
  <c r="Q37" i="1" s="1"/>
  <c r="G34" i="1"/>
  <c r="G37" i="1" s="1"/>
  <c r="G35" i="1"/>
  <c r="I34" i="1"/>
  <c r="I37" i="1" s="1"/>
  <c r="J34" i="1"/>
  <c r="J37" i="1" s="1"/>
  <c r="K34" i="1"/>
  <c r="K37" i="1" s="1"/>
  <c r="L34" i="1"/>
  <c r="L37" i="1" s="1"/>
  <c r="O34" i="1"/>
  <c r="O37" i="1" s="1"/>
  <c r="B34" i="1"/>
  <c r="B37" i="1" s="1"/>
  <c r="H34" i="1"/>
  <c r="H37" i="1" s="1"/>
  <c r="F34" i="1"/>
  <c r="F37" i="1" s="1"/>
  <c r="P34" i="1"/>
  <c r="P37" i="1" s="1"/>
  <c r="C35" i="1" l="1"/>
  <c r="F35" i="1"/>
  <c r="K35" i="1"/>
  <c r="I35" i="1"/>
  <c r="O35" i="1"/>
  <c r="P35" i="1"/>
  <c r="J35" i="1"/>
  <c r="H35" i="1"/>
  <c r="Q35" i="1"/>
  <c r="L35" i="1"/>
  <c r="M35" i="1"/>
  <c r="D35" i="1"/>
  <c r="S37" i="1"/>
  <c r="B35" i="1"/>
  <c r="N35" i="1"/>
</calcChain>
</file>

<file path=xl/sharedStrings.xml><?xml version="1.0" encoding="utf-8"?>
<sst xmlns="http://schemas.openxmlformats.org/spreadsheetml/2006/main" count="91" uniqueCount="50">
  <si>
    <t>TOTAL FRAIS</t>
  </si>
  <si>
    <t>Frais déclarés par le club :</t>
  </si>
  <si>
    <t>Frais retenus par le Collège après analyse du dossier et des pièces justificatives :</t>
  </si>
  <si>
    <t>% des frais sur la somme totale des frais déclarés par l'ensemble des clubs :</t>
  </si>
  <si>
    <t>Répartition plafonnée :</t>
  </si>
  <si>
    <t>Soit des montants totaux théoriques de :</t>
  </si>
  <si>
    <t xml:space="preserve">Excédent à répartir : </t>
  </si>
  <si>
    <t>Plafond :</t>
  </si>
  <si>
    <t>Crédit budgétaire communal :</t>
  </si>
  <si>
    <t xml:space="preserve">Subside pour nouveaux clubs : </t>
  </si>
  <si>
    <t>Nombre de nouveaux clubs :</t>
  </si>
  <si>
    <t xml:space="preserve">Crédit disponible pour la répartition : </t>
  </si>
  <si>
    <t>Frais et clubs n'ayant pas encore atteint le plafond :</t>
  </si>
  <si>
    <t>% des frais des clubs sur le total des frais :</t>
  </si>
  <si>
    <t>Répartition finale :</t>
  </si>
  <si>
    <t>Football</t>
  </si>
  <si>
    <t>Tennis</t>
  </si>
  <si>
    <t>RFC</t>
  </si>
  <si>
    <t>TC God.</t>
  </si>
  <si>
    <t>Balle Pelote</t>
  </si>
  <si>
    <t>Purnode</t>
  </si>
  <si>
    <t>Evrehailles</t>
  </si>
  <si>
    <t>Mini-foot</t>
  </si>
  <si>
    <t>BV Mont</t>
  </si>
  <si>
    <t>Tennis de Table</t>
  </si>
  <si>
    <t>Mont</t>
  </si>
  <si>
    <t>Spontin</t>
  </si>
  <si>
    <t>Yama-Arashi</t>
  </si>
  <si>
    <t>Arts martiaux</t>
  </si>
  <si>
    <t>Durnal</t>
  </si>
  <si>
    <t>12250 € à répartir :</t>
  </si>
  <si>
    <t>Discgolf</t>
  </si>
  <si>
    <t>Godinne</t>
  </si>
  <si>
    <t>SUBSIDES SPORTIFS 2023</t>
  </si>
  <si>
    <t>Club plongée</t>
  </si>
  <si>
    <t>Flèche brisée</t>
  </si>
  <si>
    <t>Tir à l'arc</t>
  </si>
  <si>
    <t>Rugby</t>
  </si>
  <si>
    <t>RFC Yvoir</t>
  </si>
  <si>
    <t>Montant</t>
  </si>
  <si>
    <t xml:space="preserve">Sport </t>
  </si>
  <si>
    <t>Club</t>
  </si>
  <si>
    <t>Minifoot</t>
  </si>
  <si>
    <t>Tennis de table</t>
  </si>
  <si>
    <t>Arts Martiaux</t>
  </si>
  <si>
    <t>Club de Plongée</t>
  </si>
  <si>
    <t>Total</t>
  </si>
  <si>
    <t>2ème répartition - solde à répartir (3008,66 €) sur base du % des frais ci-dessus) :</t>
  </si>
  <si>
    <t>3ème répartition - solde à répartir (139,47 €) sur base du % des frais ci-dessus) :</t>
  </si>
  <si>
    <t>3ème répartition - solde à répartir (514,44€) sur base du % des frais ci-dessus)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</si>
</sst>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_);\(#,##0.00\ &quot;€&quot;\)"/>
    <numFmt numFmtId="165" formatCode="_-* #,##0.00\ _€_-;\-* #,##0.00\ _€_-;_-* &quot;-&quot;??\ _€_-;_-@_-"/>
    <numFmt numFmtId="166" formatCode="_-* #,##0\ &quot;€&quot;_-;\-* #,##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i/>
      <sz val="10"/>
      <color indexed="8"/>
      <name val="Calibri"/>
      <family val="2"/>
    </font>
    <font>
      <i/>
      <sz val="11"/>
      <color indexed="8"/>
      <name val="Calibri"/>
      <family val="2"/>
    </font>
    <font>
      <b/>
      <u val="singleAccounting"/>
      <sz val="22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9" fontId="2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4" fontId="0" fillId="0" borderId="0" xfId="0" applyNumberFormat="1"/>
    <xf numFmtId="0" fontId="3" fillId="0" borderId="2" xfId="0" applyFont="1" applyBorder="1"/>
    <xf numFmtId="0" fontId="4" fillId="0" borderId="1" xfId="0" applyFont="1" applyBorder="1"/>
    <xf numFmtId="0" fontId="5" fillId="0" borderId="0" xfId="0" applyFont="1"/>
    <xf numFmtId="0" fontId="0" fillId="0" borderId="1" xfId="0" applyBorder="1"/>
    <xf numFmtId="0" fontId="0" fillId="0" borderId="0" xfId="2" applyNumberFormat="1" applyFont="1"/>
    <xf numFmtId="0" fontId="3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/>
    <xf numFmtId="44" fontId="0" fillId="0" borderId="1" xfId="0" applyNumberFormat="1" applyBorder="1"/>
    <xf numFmtId="44" fontId="2" fillId="2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44" fontId="0" fillId="0" borderId="1" xfId="2" applyFont="1" applyFill="1" applyBorder="1"/>
    <xf numFmtId="44" fontId="2" fillId="2" borderId="3" xfId="0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9" fontId="0" fillId="0" borderId="3" xfId="3" applyFont="1" applyFill="1" applyBorder="1" applyAlignment="1">
      <alignment vertical="center"/>
    </xf>
    <xf numFmtId="165" fontId="0" fillId="0" borderId="0" xfId="1" applyFont="1"/>
    <xf numFmtId="165" fontId="3" fillId="0" borderId="0" xfId="1" applyFont="1" applyAlignment="1">
      <alignment horizontal="center" vertical="center"/>
    </xf>
    <xf numFmtId="165" fontId="5" fillId="0" borderId="0" xfId="1" applyFont="1"/>
    <xf numFmtId="44" fontId="2" fillId="3" borderId="3" xfId="0" applyNumberFormat="1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166" fontId="0" fillId="0" borderId="0" xfId="2" applyNumberFormat="1" applyFont="1"/>
    <xf numFmtId="166" fontId="0" fillId="0" borderId="0" xfId="1" applyNumberFormat="1" applyFont="1"/>
    <xf numFmtId="166" fontId="2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3" fillId="0" borderId="1" xfId="3" applyNumberFormat="1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166" fontId="0" fillId="0" borderId="1" xfId="2" applyNumberFormat="1" applyFont="1" applyFill="1" applyBorder="1"/>
    <xf numFmtId="166" fontId="0" fillId="0" borderId="3" xfId="3" applyNumberFormat="1" applyFont="1" applyFill="1" applyBorder="1" applyAlignment="1">
      <alignment vertical="center"/>
    </xf>
    <xf numFmtId="166" fontId="0" fillId="0" borderId="1" xfId="0" applyNumberFormat="1" applyBorder="1"/>
    <xf numFmtId="165" fontId="0" fillId="0" borderId="1" xfId="1" applyFont="1" applyBorder="1"/>
    <xf numFmtId="0" fontId="4" fillId="0" borderId="0" xfId="0" applyFont="1"/>
    <xf numFmtId="166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5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0" fillId="0" borderId="1" xfId="2" applyNumberFormat="1" applyFont="1" applyFill="1" applyBorder="1"/>
    <xf numFmtId="164" fontId="3" fillId="0" borderId="2" xfId="0" applyNumberFormat="1" applyFont="1" applyBorder="1" applyAlignment="1">
      <alignment horizontal="center" vertical="center"/>
    </xf>
    <xf numFmtId="44" fontId="6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tabSelected="1" topLeftCell="D1" zoomScale="120" zoomScaleNormal="120" workbookViewId="0">
      <pane ySplit="8" topLeftCell="A34" activePane="bottomLeft" state="frozen"/>
      <selection activeCell="B1" sqref="B1"/>
      <selection pane="bottomLeft" activeCell="P11" sqref="P11"/>
    </sheetView>
  </sheetViews>
  <sheetFormatPr baseColWidth="10" defaultRowHeight="15" x14ac:dyDescent="0.25"/>
  <cols>
    <col min="1" max="1" width="34.140625" customWidth="1"/>
    <col min="2" max="2" width="9.42578125" style="37" customWidth="1"/>
    <col min="3" max="3" width="12.7109375" style="6" customWidth="1"/>
    <col min="4" max="13" width="11.7109375" style="6" customWidth="1"/>
    <col min="14" max="14" width="11.7109375" style="6" hidden="1" customWidth="1"/>
    <col min="15" max="18" width="11.7109375" style="6" customWidth="1"/>
    <col min="19" max="19" width="14.7109375" style="6" customWidth="1"/>
    <col min="22" max="22" width="12" style="24" bestFit="1" customWidth="1"/>
  </cols>
  <sheetData>
    <row r="1" spans="1:30" x14ac:dyDescent="0.25">
      <c r="A1" t="s">
        <v>8</v>
      </c>
      <c r="B1" s="30">
        <v>12500</v>
      </c>
      <c r="D1" s="6" t="s">
        <v>7</v>
      </c>
      <c r="E1" s="6">
        <f>15%*B1</f>
        <v>1875</v>
      </c>
    </row>
    <row r="2" spans="1:30" x14ac:dyDescent="0.25">
      <c r="B2" s="30"/>
      <c r="I2" s="49" t="s">
        <v>33</v>
      </c>
      <c r="J2" s="49"/>
      <c r="K2" s="49"/>
      <c r="L2" s="49"/>
    </row>
    <row r="3" spans="1:30" x14ac:dyDescent="0.25">
      <c r="A3" t="s">
        <v>9</v>
      </c>
      <c r="B3" s="30">
        <v>250</v>
      </c>
      <c r="D3" s="6" t="s">
        <v>10</v>
      </c>
      <c r="F3" s="11">
        <v>0</v>
      </c>
      <c r="I3" s="49"/>
      <c r="J3" s="49"/>
      <c r="K3" s="49"/>
      <c r="L3" s="49"/>
    </row>
    <row r="4" spans="1:30" x14ac:dyDescent="0.25">
      <c r="B4" s="31"/>
    </row>
    <row r="5" spans="1:30" x14ac:dyDescent="0.25">
      <c r="A5" t="s">
        <v>11</v>
      </c>
      <c r="B5" s="31">
        <f>B1-(B3*F3)</f>
        <v>12500</v>
      </c>
    </row>
    <row r="7" spans="1:30" s="12" customFormat="1" ht="12.75" x14ac:dyDescent="0.25">
      <c r="B7" s="52" t="s">
        <v>15</v>
      </c>
      <c r="C7" s="52"/>
      <c r="D7" s="13" t="s">
        <v>16</v>
      </c>
      <c r="E7" s="52" t="s">
        <v>19</v>
      </c>
      <c r="F7" s="52"/>
      <c r="G7" s="52"/>
      <c r="H7" s="13" t="s">
        <v>31</v>
      </c>
      <c r="I7" s="13" t="s">
        <v>22</v>
      </c>
      <c r="J7" s="52" t="s">
        <v>24</v>
      </c>
      <c r="K7" s="52"/>
      <c r="L7" s="52"/>
      <c r="M7" s="52"/>
      <c r="N7" s="50" t="s">
        <v>28</v>
      </c>
      <c r="O7" s="51"/>
      <c r="P7" s="13" t="s">
        <v>34</v>
      </c>
      <c r="Q7" s="13" t="s">
        <v>37</v>
      </c>
      <c r="R7" s="13" t="s">
        <v>36</v>
      </c>
      <c r="S7" s="14"/>
      <c r="V7" s="25"/>
    </row>
    <row r="8" spans="1:30" x14ac:dyDescent="0.25">
      <c r="B8" s="32"/>
      <c r="C8" s="18" t="s">
        <v>17</v>
      </c>
      <c r="D8" s="18" t="s">
        <v>18</v>
      </c>
      <c r="E8" s="18" t="s">
        <v>20</v>
      </c>
      <c r="F8" s="19" t="s">
        <v>21</v>
      </c>
      <c r="G8" s="19" t="s">
        <v>29</v>
      </c>
      <c r="H8" s="18" t="s">
        <v>32</v>
      </c>
      <c r="I8" s="18" t="s">
        <v>23</v>
      </c>
      <c r="J8" s="18" t="s">
        <v>25</v>
      </c>
      <c r="K8" s="18" t="s">
        <v>20</v>
      </c>
      <c r="L8" s="18" t="s">
        <v>26</v>
      </c>
      <c r="M8" s="18" t="s">
        <v>21</v>
      </c>
      <c r="N8" s="18"/>
      <c r="O8" s="18" t="s">
        <v>27</v>
      </c>
      <c r="P8" s="27" t="s">
        <v>32</v>
      </c>
      <c r="Q8" s="21" t="s">
        <v>32</v>
      </c>
      <c r="R8" s="21" t="s">
        <v>35</v>
      </c>
      <c r="S8" s="15" t="s">
        <v>0</v>
      </c>
    </row>
    <row r="9" spans="1:30" x14ac:dyDescent="0.25">
      <c r="A9" s="1" t="s">
        <v>1</v>
      </c>
      <c r="B9" s="33"/>
      <c r="C9" s="15">
        <v>10452.61</v>
      </c>
      <c r="D9" s="15">
        <v>25761.13</v>
      </c>
      <c r="E9" s="15">
        <v>3573.09</v>
      </c>
      <c r="F9" s="15">
        <v>1207.6300000000001</v>
      </c>
      <c r="G9" s="15">
        <v>435.67</v>
      </c>
      <c r="H9" s="15">
        <v>871.88</v>
      </c>
      <c r="I9" s="15">
        <v>8128</v>
      </c>
      <c r="J9" s="15">
        <v>3078.72</v>
      </c>
      <c r="K9" s="15">
        <v>3270.02</v>
      </c>
      <c r="L9" s="15">
        <v>6309.25</v>
      </c>
      <c r="M9" s="15">
        <v>3269.04</v>
      </c>
      <c r="N9" s="15"/>
      <c r="O9" s="15">
        <v>578</v>
      </c>
      <c r="P9" s="15">
        <v>1887.4</v>
      </c>
      <c r="Q9" s="15">
        <v>20223.41</v>
      </c>
      <c r="R9" s="15">
        <v>1012.11</v>
      </c>
      <c r="S9" s="15">
        <f>SUM(B9:Q9)</f>
        <v>89045.849999999991</v>
      </c>
    </row>
    <row r="10" spans="1:30" ht="26.25" customHeight="1" x14ac:dyDescent="0.25">
      <c r="A10" s="2" t="s">
        <v>2</v>
      </c>
      <c r="B10" s="33"/>
      <c r="C10" s="15">
        <v>10452.61</v>
      </c>
      <c r="D10" s="15">
        <v>25761.13</v>
      </c>
      <c r="E10" s="15">
        <v>823.5</v>
      </c>
      <c r="F10" s="15">
        <v>359.87</v>
      </c>
      <c r="G10" s="15">
        <v>435.67</v>
      </c>
      <c r="H10" s="15">
        <v>871.88</v>
      </c>
      <c r="I10" s="15">
        <v>8128</v>
      </c>
      <c r="J10" s="15">
        <v>3073.02</v>
      </c>
      <c r="K10" s="15">
        <v>3214.49</v>
      </c>
      <c r="L10" s="15">
        <v>5335.14</v>
      </c>
      <c r="M10" s="15">
        <v>3069.04</v>
      </c>
      <c r="N10" s="15"/>
      <c r="O10" s="15">
        <v>570</v>
      </c>
      <c r="P10" s="15">
        <v>850</v>
      </c>
      <c r="Q10" s="15">
        <v>20003.400000000001</v>
      </c>
      <c r="R10" s="15">
        <v>-1934.46</v>
      </c>
      <c r="S10" s="15">
        <f>SUM(B10:Q10)</f>
        <v>82947.75</v>
      </c>
      <c r="AB10">
        <v>1240.2</v>
      </c>
      <c r="AD10">
        <v>1204.1199999999999</v>
      </c>
    </row>
    <row r="11" spans="1:30" ht="26.25" x14ac:dyDescent="0.25">
      <c r="A11" s="4" t="s">
        <v>3</v>
      </c>
      <c r="B11" s="34">
        <f t="shared" ref="B11:Q11" si="0">B10/$S$10</f>
        <v>0</v>
      </c>
      <c r="C11" s="22">
        <f>C10/$S$10</f>
        <v>0.12601438857594088</v>
      </c>
      <c r="D11" s="22">
        <f>D10/$S$10</f>
        <v>0.31057057002751731</v>
      </c>
      <c r="E11" s="22">
        <f t="shared" si="0"/>
        <v>9.9279365624745704E-3</v>
      </c>
      <c r="F11" s="22">
        <f t="shared" si="0"/>
        <v>4.3385143056924392E-3</v>
      </c>
      <c r="G11" s="22">
        <f t="shared" si="0"/>
        <v>5.2523425891600438E-3</v>
      </c>
      <c r="H11" s="22">
        <f t="shared" si="0"/>
        <v>1.0511195300656136E-2</v>
      </c>
      <c r="I11" s="22">
        <f t="shared" si="0"/>
        <v>9.798939693963972E-2</v>
      </c>
      <c r="J11" s="22">
        <f t="shared" si="0"/>
        <v>3.7047659520601822E-2</v>
      </c>
      <c r="K11" s="22">
        <f t="shared" si="0"/>
        <v>3.8753191014825598E-2</v>
      </c>
      <c r="L11" s="22">
        <f t="shared" si="0"/>
        <v>6.4319285333236886E-2</v>
      </c>
      <c r="M11" s="22">
        <f t="shared" si="0"/>
        <v>3.6999677507828725E-2</v>
      </c>
      <c r="N11" s="22">
        <f t="shared" si="0"/>
        <v>0</v>
      </c>
      <c r="O11" s="22">
        <f t="shared" si="0"/>
        <v>6.8717957991627256E-3</v>
      </c>
      <c r="P11" s="22">
        <f t="shared" si="0"/>
        <v>1.0247414788225117E-2</v>
      </c>
      <c r="Q11" s="22">
        <f t="shared" si="0"/>
        <v>0.24115663173503804</v>
      </c>
      <c r="R11" s="22"/>
      <c r="S11" s="3">
        <f>SUM(B11:R11)</f>
        <v>1</v>
      </c>
      <c r="AB11">
        <v>2140.36</v>
      </c>
      <c r="AD11">
        <v>2244.9499999999998</v>
      </c>
    </row>
    <row r="12" spans="1:30" x14ac:dyDescent="0.25">
      <c r="A12" s="1" t="s">
        <v>30</v>
      </c>
      <c r="B12" s="33">
        <f>B11*$B$5</f>
        <v>0</v>
      </c>
      <c r="C12" s="15">
        <f>C11*$B$5</f>
        <v>1575.1798571992611</v>
      </c>
      <c r="D12" s="15">
        <f>D11*$B$5</f>
        <v>3882.1321253439664</v>
      </c>
      <c r="E12" s="15">
        <f t="shared" ref="E12:I12" si="1">E11*$B$5</f>
        <v>124.09920703093213</v>
      </c>
      <c r="F12" s="15">
        <f t="shared" si="1"/>
        <v>54.23142882115549</v>
      </c>
      <c r="G12" s="15">
        <f t="shared" si="1"/>
        <v>65.654282364500546</v>
      </c>
      <c r="H12" s="15">
        <f t="shared" si="1"/>
        <v>131.3899412582017</v>
      </c>
      <c r="I12" s="15">
        <f t="shared" si="1"/>
        <v>1224.8674617454965</v>
      </c>
      <c r="J12" s="15">
        <f t="shared" ref="J12:P12" si="2">J11*$B$5</f>
        <v>463.0957440075228</v>
      </c>
      <c r="K12" s="15">
        <f t="shared" si="2"/>
        <v>484.41488768531997</v>
      </c>
      <c r="L12" s="15">
        <f t="shared" si="2"/>
        <v>803.99106666546106</v>
      </c>
      <c r="M12" s="15">
        <f t="shared" si="2"/>
        <v>462.49596884785905</v>
      </c>
      <c r="N12" s="15">
        <f t="shared" si="2"/>
        <v>0</v>
      </c>
      <c r="O12" s="15">
        <f t="shared" si="2"/>
        <v>85.897447489534073</v>
      </c>
      <c r="P12" s="15">
        <f t="shared" si="2"/>
        <v>128.09268485281396</v>
      </c>
      <c r="Q12" s="15">
        <f>Q11*$B$5</f>
        <v>3014.4578966879753</v>
      </c>
      <c r="R12" s="15">
        <f>R11*$B$5</f>
        <v>0</v>
      </c>
      <c r="AB12">
        <v>1527.57</v>
      </c>
      <c r="AD12">
        <v>3656.29</v>
      </c>
    </row>
    <row r="13" spans="1:30" x14ac:dyDescent="0.25">
      <c r="A13" s="7" t="s">
        <v>4</v>
      </c>
      <c r="B13" s="35">
        <f>IF((B12&gt;$E$1),($E$1),B12)</f>
        <v>0</v>
      </c>
      <c r="C13" s="28">
        <f>IF((C12&gt;$E$1),($E$1),C12)</f>
        <v>1575.1798571992611</v>
      </c>
      <c r="D13" s="28">
        <f>IF((D12&gt;$E$1),($E$1),D12)</f>
        <v>1875</v>
      </c>
      <c r="E13" s="28">
        <f t="shared" ref="E13:M13" si="3">IF((E12&gt;$E$1),($E$1),E12)</f>
        <v>124.09920703093213</v>
      </c>
      <c r="F13" s="28">
        <f t="shared" si="3"/>
        <v>54.23142882115549</v>
      </c>
      <c r="G13" s="28">
        <f t="shared" si="3"/>
        <v>65.654282364500546</v>
      </c>
      <c r="H13" s="28">
        <f t="shared" si="3"/>
        <v>131.3899412582017</v>
      </c>
      <c r="I13" s="28">
        <f t="shared" si="3"/>
        <v>1224.8674617454965</v>
      </c>
      <c r="J13" s="28">
        <f t="shared" si="3"/>
        <v>463.0957440075228</v>
      </c>
      <c r="K13" s="28">
        <f t="shared" si="3"/>
        <v>484.41488768531997</v>
      </c>
      <c r="L13" s="28">
        <f t="shared" si="3"/>
        <v>803.99106666546106</v>
      </c>
      <c r="M13" s="28">
        <f t="shared" si="3"/>
        <v>462.49596884785905</v>
      </c>
      <c r="N13" s="28">
        <f>IF((N12&gt;$E$1),($E$1),N12)</f>
        <v>0</v>
      </c>
      <c r="O13" s="28">
        <f>IF((O12&gt;$E$1),($E$1),O12)</f>
        <v>85.897447489534073</v>
      </c>
      <c r="P13" s="28">
        <f>IF((P12&gt;$E$1),($E$1),P12)</f>
        <v>128.09268485281396</v>
      </c>
      <c r="Q13" s="28">
        <f>IF((Q12&gt;$E$1),($E$1),Q12)</f>
        <v>1875</v>
      </c>
      <c r="R13" s="28">
        <f>IF((R12&gt;$E$1),($E$1),R12)</f>
        <v>0</v>
      </c>
      <c r="AB13">
        <v>2120</v>
      </c>
      <c r="AD13">
        <v>2120</v>
      </c>
    </row>
    <row r="14" spans="1:30" s="9" customFormat="1" x14ac:dyDescent="0.25">
      <c r="A14" s="8" t="s">
        <v>6</v>
      </c>
      <c r="B14" s="36">
        <f t="shared" ref="B14:R14" si="4">B12-B13</f>
        <v>0</v>
      </c>
      <c r="C14" s="29">
        <f t="shared" si="4"/>
        <v>0</v>
      </c>
      <c r="D14" s="29">
        <f>D12-D13</f>
        <v>2007.1321253439664</v>
      </c>
      <c r="E14" s="29">
        <f t="shared" si="4"/>
        <v>0</v>
      </c>
      <c r="F14" s="29">
        <f t="shared" si="4"/>
        <v>0</v>
      </c>
      <c r="G14" s="29">
        <f t="shared" si="4"/>
        <v>0</v>
      </c>
      <c r="H14" s="29">
        <f t="shared" si="4"/>
        <v>0</v>
      </c>
      <c r="I14" s="29">
        <f t="shared" si="4"/>
        <v>0</v>
      </c>
      <c r="J14" s="29">
        <f t="shared" si="4"/>
        <v>0</v>
      </c>
      <c r="K14" s="29">
        <f t="shared" si="4"/>
        <v>0</v>
      </c>
      <c r="L14" s="29">
        <f t="shared" si="4"/>
        <v>0</v>
      </c>
      <c r="M14" s="29">
        <f t="shared" si="4"/>
        <v>0</v>
      </c>
      <c r="N14" s="29">
        <f t="shared" si="4"/>
        <v>0</v>
      </c>
      <c r="O14" s="29">
        <f t="shared" si="4"/>
        <v>0</v>
      </c>
      <c r="P14" s="29">
        <f t="shared" si="4"/>
        <v>0</v>
      </c>
      <c r="Q14" s="29">
        <f t="shared" si="4"/>
        <v>1139.4578966879753</v>
      </c>
      <c r="R14" s="29">
        <f t="shared" si="4"/>
        <v>0</v>
      </c>
      <c r="S14" s="16">
        <f>SUM(B14:R14)</f>
        <v>3146.5900220319418</v>
      </c>
      <c r="V14" s="26"/>
      <c r="AB14" s="9">
        <v>912.75</v>
      </c>
      <c r="AD14" s="9">
        <v>912.75</v>
      </c>
    </row>
    <row r="15" spans="1:30" x14ac:dyDescent="0.25">
      <c r="AB15">
        <f>SUM(AB10:AB14)</f>
        <v>7940.88</v>
      </c>
      <c r="AD15">
        <f>SUM(AD10:AD14)</f>
        <v>10138.11</v>
      </c>
    </row>
    <row r="16" spans="1:30" ht="26.25" x14ac:dyDescent="0.25">
      <c r="A16" s="2" t="s">
        <v>12</v>
      </c>
      <c r="B16" s="38">
        <f>IF((B13&lt;$E$1),B10,0)</f>
        <v>0</v>
      </c>
      <c r="C16" s="20">
        <f>IF((C13&lt;$E$1),C10,0)</f>
        <v>10452.61</v>
      </c>
      <c r="D16" s="20">
        <f>IF((D13&lt;$E$1),D10,0)</f>
        <v>0</v>
      </c>
      <c r="E16" s="20">
        <f t="shared" ref="E16:P16" si="5">IF((E13&lt;$E$1),E10,0)</f>
        <v>823.5</v>
      </c>
      <c r="F16" s="20">
        <f t="shared" si="5"/>
        <v>359.87</v>
      </c>
      <c r="G16" s="20">
        <f t="shared" si="5"/>
        <v>435.67</v>
      </c>
      <c r="H16" s="20">
        <f t="shared" si="5"/>
        <v>871.88</v>
      </c>
      <c r="I16" s="20">
        <f t="shared" si="5"/>
        <v>8128</v>
      </c>
      <c r="J16" s="20">
        <f t="shared" si="5"/>
        <v>3073.02</v>
      </c>
      <c r="K16" s="20">
        <f t="shared" si="5"/>
        <v>3214.49</v>
      </c>
      <c r="L16" s="20">
        <f t="shared" si="5"/>
        <v>5335.14</v>
      </c>
      <c r="M16" s="20">
        <f t="shared" si="5"/>
        <v>3069.04</v>
      </c>
      <c r="N16" s="20">
        <f t="shared" si="5"/>
        <v>0</v>
      </c>
      <c r="O16" s="20">
        <f t="shared" si="5"/>
        <v>570</v>
      </c>
      <c r="P16" s="20">
        <f t="shared" si="5"/>
        <v>850</v>
      </c>
      <c r="Q16" s="20">
        <f t="shared" ref="Q16" si="6">IF((Q13&lt;$E$1),Q10,0)</f>
        <v>0</v>
      </c>
      <c r="R16" s="20">
        <v>0</v>
      </c>
      <c r="S16" s="17">
        <f>SUM(B16:R16)</f>
        <v>37183.22</v>
      </c>
      <c r="AB16">
        <f>+AB15+AD16</f>
        <v>-1179.1199999999999</v>
      </c>
      <c r="AD16">
        <v>-9120</v>
      </c>
    </row>
    <row r="17" spans="1:22" ht="26.25" x14ac:dyDescent="0.25">
      <c r="A17" s="2" t="s">
        <v>13</v>
      </c>
      <c r="B17" s="39">
        <f t="shared" ref="B17:P17" si="7">B16/$S$16</f>
        <v>0</v>
      </c>
      <c r="C17" s="23">
        <f>C16/$S$16</f>
        <v>0.28111094197866671</v>
      </c>
      <c r="D17" s="23">
        <f t="shared" si="7"/>
        <v>0</v>
      </c>
      <c r="E17" s="23">
        <f t="shared" si="7"/>
        <v>2.2147086777315143E-2</v>
      </c>
      <c r="F17" s="23">
        <f t="shared" si="7"/>
        <v>9.6782903686125077E-3</v>
      </c>
      <c r="G17" s="23">
        <f t="shared" si="7"/>
        <v>1.1716844318485596E-2</v>
      </c>
      <c r="H17" s="23">
        <f t="shared" si="7"/>
        <v>2.344821131682517E-2</v>
      </c>
      <c r="I17" s="23">
        <f t="shared" si="7"/>
        <v>0.21859322565393743</v>
      </c>
      <c r="J17" s="23">
        <f t="shared" si="7"/>
        <v>8.2645343786794154E-2</v>
      </c>
      <c r="K17" s="23">
        <f t="shared" si="7"/>
        <v>8.6450016970020332E-2</v>
      </c>
      <c r="L17" s="23">
        <f t="shared" si="7"/>
        <v>0.14348246332619929</v>
      </c>
      <c r="M17" s="23">
        <f t="shared" si="7"/>
        <v>8.2538306257500013E-2</v>
      </c>
      <c r="N17" s="23">
        <f t="shared" si="7"/>
        <v>0</v>
      </c>
      <c r="O17" s="23">
        <f t="shared" si="7"/>
        <v>1.5329495401420317E-2</v>
      </c>
      <c r="P17" s="23">
        <f t="shared" si="7"/>
        <v>2.2859773844223281E-2</v>
      </c>
      <c r="Q17" s="23">
        <f>Q16/$S$16</f>
        <v>0</v>
      </c>
      <c r="R17" s="23">
        <f>R16/$S$16</f>
        <v>0</v>
      </c>
    </row>
    <row r="18" spans="1:22" ht="32.65" customHeight="1" x14ac:dyDescent="0.25">
      <c r="A18" s="2" t="s">
        <v>47</v>
      </c>
      <c r="B18" s="33">
        <f t="shared" ref="B18:P18" si="8">B17*$S$14</f>
        <v>0</v>
      </c>
      <c r="C18" s="15">
        <f t="shared" si="8"/>
        <v>884.54088511407281</v>
      </c>
      <c r="D18" s="15">
        <f t="shared" si="8"/>
        <v>0</v>
      </c>
      <c r="E18" s="15">
        <f t="shared" si="8"/>
        <v>69.687802270575375</v>
      </c>
      <c r="F18" s="15">
        <f t="shared" si="8"/>
        <v>30.45361190420396</v>
      </c>
      <c r="G18" s="15">
        <f t="shared" si="8"/>
        <v>36.868105422248426</v>
      </c>
      <c r="H18" s="15">
        <f t="shared" si="8"/>
        <v>73.781907764018541</v>
      </c>
      <c r="I18" s="15">
        <f t="shared" si="8"/>
        <v>687.82326272645616</v>
      </c>
      <c r="J18" s="15">
        <f t="shared" si="8"/>
        <v>260.05101412692602</v>
      </c>
      <c r="K18" s="15">
        <f t="shared" si="8"/>
        <v>272.02276080235799</v>
      </c>
      <c r="L18" s="15">
        <f t="shared" si="8"/>
        <v>451.48048743878269</v>
      </c>
      <c r="M18" s="15">
        <f t="shared" si="8"/>
        <v>259.7142109052661</v>
      </c>
      <c r="N18" s="15">
        <f t="shared" si="8"/>
        <v>0</v>
      </c>
      <c r="O18" s="15">
        <f t="shared" si="8"/>
        <v>48.235637272893705</v>
      </c>
      <c r="P18" s="15">
        <f t="shared" si="8"/>
        <v>71.930336284139742</v>
      </c>
      <c r="Q18" s="15">
        <f>Q17*$S$14</f>
        <v>0</v>
      </c>
      <c r="R18" s="15">
        <f>R17*$S$14</f>
        <v>0</v>
      </c>
    </row>
    <row r="19" spans="1:22" x14ac:dyDescent="0.25">
      <c r="A19" s="2" t="s">
        <v>5</v>
      </c>
      <c r="B19" s="33">
        <f t="shared" ref="B19:P19" si="9">B18+B13</f>
        <v>0</v>
      </c>
      <c r="C19" s="15">
        <f t="shared" si="9"/>
        <v>2459.7207423133341</v>
      </c>
      <c r="D19" s="15">
        <f t="shared" si="9"/>
        <v>1875</v>
      </c>
      <c r="E19" s="15">
        <f t="shared" si="9"/>
        <v>193.78700930150751</v>
      </c>
      <c r="F19" s="15">
        <f t="shared" si="9"/>
        <v>84.685040725359443</v>
      </c>
      <c r="G19" s="15">
        <f t="shared" si="9"/>
        <v>102.52238778674896</v>
      </c>
      <c r="H19" s="15">
        <f t="shared" si="9"/>
        <v>205.17184902222024</v>
      </c>
      <c r="I19" s="15">
        <f t="shared" si="9"/>
        <v>1912.6907244719528</v>
      </c>
      <c r="J19" s="15">
        <f t="shared" si="9"/>
        <v>723.14675813444887</v>
      </c>
      <c r="K19" s="15">
        <f t="shared" si="9"/>
        <v>756.43764848767796</v>
      </c>
      <c r="L19" s="15">
        <f t="shared" si="9"/>
        <v>1255.4715541042438</v>
      </c>
      <c r="M19" s="15">
        <f t="shared" si="9"/>
        <v>722.2101797531252</v>
      </c>
      <c r="N19" s="15">
        <f t="shared" si="9"/>
        <v>0</v>
      </c>
      <c r="O19" s="15">
        <f t="shared" si="9"/>
        <v>134.13308476242779</v>
      </c>
      <c r="P19" s="15">
        <f t="shared" si="9"/>
        <v>200.0230211369537</v>
      </c>
      <c r="Q19" s="15">
        <f t="shared" ref="Q19:R19" si="10">Q18+Q13</f>
        <v>1875</v>
      </c>
      <c r="R19" s="15">
        <f t="shared" si="10"/>
        <v>0</v>
      </c>
    </row>
    <row r="20" spans="1:22" x14ac:dyDescent="0.25">
      <c r="A20" s="5" t="s">
        <v>4</v>
      </c>
      <c r="B20" s="35">
        <f>IF((B19&gt;$E$1),($E$1),B19)</f>
        <v>0</v>
      </c>
      <c r="C20" s="28">
        <f t="shared" ref="C20:P20" si="11">IF((C19&gt;$E$1),($E$1),C19)</f>
        <v>1875</v>
      </c>
      <c r="D20" s="28">
        <f t="shared" si="11"/>
        <v>1875</v>
      </c>
      <c r="E20" s="28">
        <f t="shared" si="11"/>
        <v>193.78700930150751</v>
      </c>
      <c r="F20" s="28">
        <f t="shared" si="11"/>
        <v>84.685040725359443</v>
      </c>
      <c r="G20" s="28">
        <f t="shared" si="11"/>
        <v>102.52238778674896</v>
      </c>
      <c r="H20" s="28">
        <f t="shared" si="11"/>
        <v>205.17184902222024</v>
      </c>
      <c r="I20" s="28">
        <f t="shared" si="11"/>
        <v>1875</v>
      </c>
      <c r="J20" s="28">
        <f t="shared" si="11"/>
        <v>723.14675813444887</v>
      </c>
      <c r="K20" s="28">
        <f t="shared" si="11"/>
        <v>756.43764848767796</v>
      </c>
      <c r="L20" s="28">
        <f t="shared" si="11"/>
        <v>1255.4715541042438</v>
      </c>
      <c r="M20" s="28">
        <f t="shared" si="11"/>
        <v>722.2101797531252</v>
      </c>
      <c r="N20" s="28">
        <f t="shared" si="11"/>
        <v>0</v>
      </c>
      <c r="O20" s="28">
        <f t="shared" si="11"/>
        <v>134.13308476242779</v>
      </c>
      <c r="P20" s="28">
        <f t="shared" si="11"/>
        <v>200.0230211369537</v>
      </c>
      <c r="Q20" s="28">
        <f t="shared" ref="Q20:R20" si="12">IF((Q19&gt;$E$1),($E$1),Q19)</f>
        <v>1875</v>
      </c>
      <c r="R20" s="28">
        <f t="shared" si="12"/>
        <v>0</v>
      </c>
    </row>
    <row r="21" spans="1:22" s="9" customFormat="1" x14ac:dyDescent="0.25">
      <c r="A21" s="8" t="s">
        <v>6</v>
      </c>
      <c r="B21" s="36">
        <f t="shared" ref="B21:P21" si="13">B19-B20</f>
        <v>0</v>
      </c>
      <c r="C21" s="29">
        <f>C19-C20</f>
        <v>584.72074231333409</v>
      </c>
      <c r="D21" s="29">
        <f t="shared" si="13"/>
        <v>0</v>
      </c>
      <c r="E21" s="29">
        <f t="shared" si="13"/>
        <v>0</v>
      </c>
      <c r="F21" s="29">
        <f t="shared" si="13"/>
        <v>0</v>
      </c>
      <c r="G21" s="29">
        <f t="shared" si="13"/>
        <v>0</v>
      </c>
      <c r="H21" s="29">
        <f t="shared" si="13"/>
        <v>0</v>
      </c>
      <c r="I21" s="29">
        <f t="shared" si="13"/>
        <v>37.690724471952763</v>
      </c>
      <c r="J21" s="29">
        <f t="shared" si="13"/>
        <v>0</v>
      </c>
      <c r="K21" s="29">
        <f t="shared" si="13"/>
        <v>0</v>
      </c>
      <c r="L21" s="29">
        <f t="shared" si="13"/>
        <v>0</v>
      </c>
      <c r="M21" s="29">
        <f t="shared" si="13"/>
        <v>0</v>
      </c>
      <c r="N21" s="29">
        <f t="shared" si="13"/>
        <v>0</v>
      </c>
      <c r="O21" s="29">
        <f t="shared" si="13"/>
        <v>0</v>
      </c>
      <c r="P21" s="29">
        <f t="shared" si="13"/>
        <v>0</v>
      </c>
      <c r="Q21" s="29">
        <f t="shared" ref="Q21:R21" si="14">Q19-Q20</f>
        <v>0</v>
      </c>
      <c r="R21" s="29">
        <f t="shared" si="14"/>
        <v>0</v>
      </c>
      <c r="S21" s="16">
        <f>SUM(B21:R21)</f>
        <v>622.41146678528685</v>
      </c>
      <c r="V21" s="26"/>
    </row>
    <row r="23" spans="1:22" ht="26.25" x14ac:dyDescent="0.25">
      <c r="A23" s="2" t="s">
        <v>12</v>
      </c>
      <c r="B23" s="38">
        <f>IF((B20&lt;$E$1),B10,0)</f>
        <v>0</v>
      </c>
      <c r="C23" s="20">
        <f t="shared" ref="C23:P23" si="15">IF((C20&lt;$E$1),C10,0)</f>
        <v>0</v>
      </c>
      <c r="D23" s="20">
        <f t="shared" si="15"/>
        <v>0</v>
      </c>
      <c r="E23" s="20">
        <f t="shared" si="15"/>
        <v>823.5</v>
      </c>
      <c r="F23" s="20">
        <f t="shared" si="15"/>
        <v>359.87</v>
      </c>
      <c r="G23" s="20">
        <f t="shared" si="15"/>
        <v>435.67</v>
      </c>
      <c r="H23" s="20">
        <f t="shared" si="15"/>
        <v>871.88</v>
      </c>
      <c r="I23" s="20">
        <f t="shared" si="15"/>
        <v>0</v>
      </c>
      <c r="J23" s="20">
        <f t="shared" si="15"/>
        <v>3073.02</v>
      </c>
      <c r="K23" s="20">
        <f t="shared" si="15"/>
        <v>3214.49</v>
      </c>
      <c r="L23" s="20">
        <f t="shared" si="15"/>
        <v>5335.14</v>
      </c>
      <c r="M23" s="20">
        <f t="shared" si="15"/>
        <v>3069.04</v>
      </c>
      <c r="N23" s="20">
        <f t="shared" si="15"/>
        <v>0</v>
      </c>
      <c r="O23" s="20">
        <f t="shared" si="15"/>
        <v>570</v>
      </c>
      <c r="P23" s="20">
        <f t="shared" si="15"/>
        <v>850</v>
      </c>
      <c r="Q23" s="20">
        <f t="shared" ref="Q23" si="16">IF((Q20&lt;$E$1),Q10,0)</f>
        <v>0</v>
      </c>
      <c r="R23" s="20">
        <v>0</v>
      </c>
      <c r="S23" s="17">
        <f>SUM(B23:R23)</f>
        <v>18602.61</v>
      </c>
    </row>
    <row r="24" spans="1:22" ht="26.25" x14ac:dyDescent="0.25">
      <c r="A24" s="2" t="s">
        <v>13</v>
      </c>
      <c r="B24" s="39">
        <f t="shared" ref="B24:P24" si="17">B23/$S$23</f>
        <v>0</v>
      </c>
      <c r="C24" s="23">
        <f t="shared" si="17"/>
        <v>0</v>
      </c>
      <c r="D24" s="23">
        <f>D23/$S$23</f>
        <v>0</v>
      </c>
      <c r="E24" s="23">
        <f>E23/$S$23</f>
        <v>4.426798175094785E-2</v>
      </c>
      <c r="F24" s="23">
        <f t="shared" si="17"/>
        <v>1.9345134903113057E-2</v>
      </c>
      <c r="G24" s="23">
        <f t="shared" si="17"/>
        <v>2.3419831948312628E-2</v>
      </c>
      <c r="H24" s="23">
        <f t="shared" si="17"/>
        <v>4.6868692081379976E-2</v>
      </c>
      <c r="I24" s="23">
        <f t="shared" si="17"/>
        <v>0</v>
      </c>
      <c r="J24" s="23">
        <f t="shared" si="17"/>
        <v>0.16519294873138768</v>
      </c>
      <c r="K24" s="23">
        <f t="shared" si="17"/>
        <v>0.17279779557814734</v>
      </c>
      <c r="L24" s="23">
        <f t="shared" si="17"/>
        <v>0.28679524002277101</v>
      </c>
      <c r="M24" s="23">
        <f t="shared" si="17"/>
        <v>0.16497900025856585</v>
      </c>
      <c r="N24" s="23">
        <f t="shared" si="17"/>
        <v>0</v>
      </c>
      <c r="O24" s="23">
        <f t="shared" si="17"/>
        <v>3.0640861685537674E-2</v>
      </c>
      <c r="P24" s="23">
        <f t="shared" si="17"/>
        <v>4.5692513039836881E-2</v>
      </c>
      <c r="Q24" s="23">
        <f>Q23/$S$23</f>
        <v>0</v>
      </c>
      <c r="R24" s="23">
        <f>R23/$S$23</f>
        <v>0</v>
      </c>
    </row>
    <row r="25" spans="1:22" ht="39" x14ac:dyDescent="0.25">
      <c r="A25" s="2" t="s">
        <v>49</v>
      </c>
      <c r="B25" s="33">
        <f t="shared" ref="B25:P25" si="18">B24*$S$21</f>
        <v>0</v>
      </c>
      <c r="C25" s="15">
        <f t="shared" si="18"/>
        <v>0</v>
      </c>
      <c r="D25" s="15">
        <f t="shared" si="18"/>
        <v>0</v>
      </c>
      <c r="E25" s="15">
        <f>E24*$S$21</f>
        <v>27.552899453231763</v>
      </c>
      <c r="F25" s="15">
        <f t="shared" si="18"/>
        <v>12.040633790205845</v>
      </c>
      <c r="G25" s="15">
        <f t="shared" si="18"/>
        <v>14.576771954814186</v>
      </c>
      <c r="H25" s="15">
        <f t="shared" si="18"/>
        <v>29.171611384679668</v>
      </c>
      <c r="I25" s="15">
        <f t="shared" si="18"/>
        <v>0</v>
      </c>
      <c r="J25" s="15">
        <f t="shared" si="18"/>
        <v>102.81798552248969</v>
      </c>
      <c r="K25" s="15">
        <f t="shared" si="18"/>
        <v>107.55132940305884</v>
      </c>
      <c r="L25" s="15">
        <f t="shared" si="18"/>
        <v>178.50464600961132</v>
      </c>
      <c r="M25" s="15">
        <f t="shared" si="18"/>
        <v>102.68482153970419</v>
      </c>
      <c r="N25" s="15">
        <f t="shared" si="18"/>
        <v>0</v>
      </c>
      <c r="O25" s="15">
        <f t="shared" si="18"/>
        <v>19.0712236652606</v>
      </c>
      <c r="P25" s="15">
        <f t="shared" si="18"/>
        <v>28.43954406223072</v>
      </c>
      <c r="Q25" s="15">
        <f>Q24*$S$21</f>
        <v>0</v>
      </c>
      <c r="R25" s="15">
        <f>R24*$S$21</f>
        <v>0</v>
      </c>
    </row>
    <row r="26" spans="1:22" x14ac:dyDescent="0.25">
      <c r="A26" s="2" t="s">
        <v>5</v>
      </c>
      <c r="B26" s="33">
        <f t="shared" ref="B26:P26" si="19">B25+B20</f>
        <v>0</v>
      </c>
      <c r="C26" s="15">
        <f>C25+C20</f>
        <v>1875</v>
      </c>
      <c r="D26" s="15">
        <f t="shared" si="19"/>
        <v>1875</v>
      </c>
      <c r="E26" s="15">
        <f t="shared" si="19"/>
        <v>221.33990875473927</v>
      </c>
      <c r="F26" s="15">
        <f t="shared" si="19"/>
        <v>96.725674515565288</v>
      </c>
      <c r="G26" s="15">
        <f t="shared" si="19"/>
        <v>117.09915974156316</v>
      </c>
      <c r="H26" s="15">
        <f t="shared" si="19"/>
        <v>234.34346040689991</v>
      </c>
      <c r="I26" s="15">
        <f>I25+I20</f>
        <v>1875</v>
      </c>
      <c r="J26" s="15">
        <f t="shared" si="19"/>
        <v>825.96474365693859</v>
      </c>
      <c r="K26" s="15">
        <f t="shared" si="19"/>
        <v>863.98897789073681</v>
      </c>
      <c r="L26" s="15">
        <f t="shared" si="19"/>
        <v>1433.9762001138552</v>
      </c>
      <c r="M26" s="15">
        <f t="shared" si="19"/>
        <v>824.89500129282942</v>
      </c>
      <c r="N26" s="15">
        <f t="shared" si="19"/>
        <v>0</v>
      </c>
      <c r="O26" s="15">
        <f t="shared" si="19"/>
        <v>153.20430842768837</v>
      </c>
      <c r="P26" s="15">
        <f t="shared" si="19"/>
        <v>228.46256519918441</v>
      </c>
      <c r="Q26" s="15">
        <f t="shared" ref="Q26:R26" si="20">Q25+Q20</f>
        <v>1875</v>
      </c>
      <c r="R26" s="15">
        <f t="shared" si="20"/>
        <v>0</v>
      </c>
    </row>
    <row r="27" spans="1:22" x14ac:dyDescent="0.25">
      <c r="A27" s="5" t="s">
        <v>4</v>
      </c>
      <c r="B27" s="35">
        <f>IF((B26&gt;$E$1),($E$1),B26)</f>
        <v>0</v>
      </c>
      <c r="C27" s="28">
        <f t="shared" ref="C27:P27" si="21">IF((C26&gt;$E$1),($E$1),C26)</f>
        <v>1875</v>
      </c>
      <c r="D27" s="28">
        <f t="shared" si="21"/>
        <v>1875</v>
      </c>
      <c r="E27" s="28">
        <f t="shared" si="21"/>
        <v>221.33990875473927</v>
      </c>
      <c r="F27" s="28">
        <f t="shared" si="21"/>
        <v>96.725674515565288</v>
      </c>
      <c r="G27" s="28">
        <f t="shared" si="21"/>
        <v>117.09915974156316</v>
      </c>
      <c r="H27" s="28">
        <f t="shared" si="21"/>
        <v>234.34346040689991</v>
      </c>
      <c r="I27" s="28">
        <f t="shared" si="21"/>
        <v>1875</v>
      </c>
      <c r="J27" s="28">
        <f t="shared" si="21"/>
        <v>825.96474365693859</v>
      </c>
      <c r="K27" s="28">
        <f t="shared" si="21"/>
        <v>863.98897789073681</v>
      </c>
      <c r="L27" s="28">
        <f t="shared" si="21"/>
        <v>1433.9762001138552</v>
      </c>
      <c r="M27" s="28">
        <f t="shared" si="21"/>
        <v>824.89500129282942</v>
      </c>
      <c r="N27" s="28">
        <f t="shared" si="21"/>
        <v>0</v>
      </c>
      <c r="O27" s="28">
        <f t="shared" si="21"/>
        <v>153.20430842768837</v>
      </c>
      <c r="P27" s="28">
        <f t="shared" si="21"/>
        <v>228.46256519918441</v>
      </c>
      <c r="Q27" s="28">
        <f t="shared" ref="Q27:R27" si="22">IF((Q26&gt;$E$1),($E$1),Q26)</f>
        <v>1875</v>
      </c>
      <c r="R27" s="28">
        <f t="shared" si="22"/>
        <v>0</v>
      </c>
    </row>
    <row r="28" spans="1:22" s="9" customFormat="1" x14ac:dyDescent="0.25">
      <c r="A28" s="8" t="s">
        <v>6</v>
      </c>
      <c r="B28" s="36">
        <f t="shared" ref="B28:P28" si="23">B26-B27</f>
        <v>0</v>
      </c>
      <c r="C28" s="29">
        <f t="shared" si="23"/>
        <v>0</v>
      </c>
      <c r="D28" s="29">
        <f t="shared" si="23"/>
        <v>0</v>
      </c>
      <c r="E28" s="29">
        <f t="shared" si="23"/>
        <v>0</v>
      </c>
      <c r="F28" s="29">
        <f t="shared" si="23"/>
        <v>0</v>
      </c>
      <c r="G28" s="29">
        <f t="shared" si="23"/>
        <v>0</v>
      </c>
      <c r="H28" s="29">
        <f t="shared" si="23"/>
        <v>0</v>
      </c>
      <c r="I28" s="29">
        <f>I26-I27</f>
        <v>0</v>
      </c>
      <c r="J28" s="29">
        <f t="shared" si="23"/>
        <v>0</v>
      </c>
      <c r="K28" s="29">
        <f t="shared" si="23"/>
        <v>0</v>
      </c>
      <c r="L28" s="29">
        <f t="shared" si="23"/>
        <v>0</v>
      </c>
      <c r="M28" s="29">
        <f t="shared" si="23"/>
        <v>0</v>
      </c>
      <c r="N28" s="29">
        <f t="shared" si="23"/>
        <v>0</v>
      </c>
      <c r="O28" s="29">
        <f t="shared" si="23"/>
        <v>0</v>
      </c>
      <c r="P28" s="29">
        <f t="shared" si="23"/>
        <v>0</v>
      </c>
      <c r="Q28" s="29">
        <f t="shared" ref="Q28:R28" si="24">Q26-Q27</f>
        <v>0</v>
      </c>
      <c r="R28" s="29">
        <f t="shared" si="24"/>
        <v>0</v>
      </c>
      <c r="S28" s="16">
        <f>SUM(B28:R28)</f>
        <v>0</v>
      </c>
      <c r="V28" s="26"/>
    </row>
    <row r="29" spans="1:22" s="9" customFormat="1" x14ac:dyDescent="0.25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V29" s="26"/>
    </row>
    <row r="30" spans="1:22" s="9" customFormat="1" ht="26.25" x14ac:dyDescent="0.25">
      <c r="A30" s="2" t="s">
        <v>12</v>
      </c>
      <c r="B30" s="38">
        <f>IF((B27&lt;$E$1),B17,0)</f>
        <v>0</v>
      </c>
      <c r="C30" s="38">
        <f t="shared" ref="C30:D30" si="25">IF((C27&lt;$E$1),C10,0)</f>
        <v>0</v>
      </c>
      <c r="D30" s="38">
        <f t="shared" si="25"/>
        <v>0</v>
      </c>
      <c r="E30" s="38">
        <f>IF((E27&lt;$E$1),E10,0)</f>
        <v>823.5</v>
      </c>
      <c r="F30" s="38">
        <f t="shared" ref="F30:Q30" si="26">IF((F27&lt;$E$1),F10,0)</f>
        <v>359.87</v>
      </c>
      <c r="G30" s="38">
        <f t="shared" si="26"/>
        <v>435.67</v>
      </c>
      <c r="H30" s="38">
        <f t="shared" si="26"/>
        <v>871.88</v>
      </c>
      <c r="I30" s="38">
        <f t="shared" si="26"/>
        <v>0</v>
      </c>
      <c r="J30" s="38">
        <f t="shared" si="26"/>
        <v>3073.02</v>
      </c>
      <c r="K30" s="38">
        <f t="shared" si="26"/>
        <v>3214.49</v>
      </c>
      <c r="L30" s="38">
        <f t="shared" si="26"/>
        <v>5335.14</v>
      </c>
      <c r="M30" s="38">
        <f t="shared" si="26"/>
        <v>3069.04</v>
      </c>
      <c r="N30" s="38">
        <f t="shared" si="26"/>
        <v>0</v>
      </c>
      <c r="O30" s="38">
        <f t="shared" si="26"/>
        <v>570</v>
      </c>
      <c r="P30" s="38">
        <f t="shared" si="26"/>
        <v>850</v>
      </c>
      <c r="Q30" s="38">
        <f t="shared" si="26"/>
        <v>0</v>
      </c>
      <c r="R30" s="38"/>
      <c r="S30" s="45">
        <f>SUM(B30:Q30)</f>
        <v>18602.61</v>
      </c>
      <c r="V30" s="26"/>
    </row>
    <row r="31" spans="1:22" s="9" customFormat="1" ht="26.25" x14ac:dyDescent="0.25">
      <c r="A31" s="2" t="s">
        <v>13</v>
      </c>
      <c r="B31" s="23">
        <f>B30/$S$30</f>
        <v>0</v>
      </c>
      <c r="C31" s="23">
        <f t="shared" ref="C31:Q31" si="27">C30/$S$30</f>
        <v>0</v>
      </c>
      <c r="D31" s="23">
        <f t="shared" si="27"/>
        <v>0</v>
      </c>
      <c r="E31" s="23">
        <f t="shared" si="27"/>
        <v>4.426798175094785E-2</v>
      </c>
      <c r="F31" s="23">
        <f t="shared" si="27"/>
        <v>1.9345134903113057E-2</v>
      </c>
      <c r="G31" s="23">
        <f t="shared" si="27"/>
        <v>2.3419831948312628E-2</v>
      </c>
      <c r="H31" s="23">
        <f t="shared" si="27"/>
        <v>4.6868692081379976E-2</v>
      </c>
      <c r="I31" s="23">
        <f t="shared" si="27"/>
        <v>0</v>
      </c>
      <c r="J31" s="23">
        <f t="shared" si="27"/>
        <v>0.16519294873138768</v>
      </c>
      <c r="K31" s="23">
        <f t="shared" si="27"/>
        <v>0.17279779557814734</v>
      </c>
      <c r="L31" s="23">
        <f t="shared" si="27"/>
        <v>0.28679524002277101</v>
      </c>
      <c r="M31" s="23">
        <f t="shared" si="27"/>
        <v>0.16497900025856585</v>
      </c>
      <c r="N31" s="23">
        <f t="shared" si="27"/>
        <v>0</v>
      </c>
      <c r="O31" s="23">
        <f t="shared" si="27"/>
        <v>3.0640861685537674E-2</v>
      </c>
      <c r="P31" s="23">
        <f t="shared" si="27"/>
        <v>4.5692513039836881E-2</v>
      </c>
      <c r="Q31" s="23">
        <f t="shared" si="27"/>
        <v>0</v>
      </c>
      <c r="R31" s="38">
        <f t="shared" ref="R31" si="28">IF((R28&lt;$E$1),R18,0)</f>
        <v>0</v>
      </c>
      <c r="S31" s="16"/>
      <c r="V31" s="26"/>
    </row>
    <row r="32" spans="1:22" s="9" customFormat="1" ht="39" x14ac:dyDescent="0.25">
      <c r="A32" s="2" t="s">
        <v>48</v>
      </c>
      <c r="B32" s="46">
        <f>B31*$S$28</f>
        <v>0</v>
      </c>
      <c r="C32" s="46">
        <f t="shared" ref="C32:Q32" si="29">C31*$S$28</f>
        <v>0</v>
      </c>
      <c r="D32" s="46">
        <f t="shared" si="29"/>
        <v>0</v>
      </c>
      <c r="E32" s="46">
        <f t="shared" si="29"/>
        <v>0</v>
      </c>
      <c r="F32" s="46">
        <f t="shared" si="29"/>
        <v>0</v>
      </c>
      <c r="G32" s="46">
        <f t="shared" si="29"/>
        <v>0</v>
      </c>
      <c r="H32" s="46">
        <f t="shared" si="29"/>
        <v>0</v>
      </c>
      <c r="I32" s="46">
        <f t="shared" si="29"/>
        <v>0</v>
      </c>
      <c r="J32" s="46">
        <f t="shared" si="29"/>
        <v>0</v>
      </c>
      <c r="K32" s="46">
        <f t="shared" si="29"/>
        <v>0</v>
      </c>
      <c r="L32" s="46">
        <f t="shared" si="29"/>
        <v>0</v>
      </c>
      <c r="M32" s="46">
        <f t="shared" si="29"/>
        <v>0</v>
      </c>
      <c r="N32" s="46">
        <f t="shared" si="29"/>
        <v>0</v>
      </c>
      <c r="O32" s="46">
        <f t="shared" si="29"/>
        <v>0</v>
      </c>
      <c r="P32" s="46">
        <f t="shared" si="29"/>
        <v>0</v>
      </c>
      <c r="Q32" s="46">
        <f t="shared" si="29"/>
        <v>0</v>
      </c>
      <c r="R32" s="47">
        <f t="shared" ref="R32" si="30">IF((R29&lt;$E$1),R19,0)</f>
        <v>0</v>
      </c>
      <c r="S32" s="45"/>
      <c r="V32" s="26"/>
    </row>
    <row r="33" spans="1:22" s="9" customFormat="1" x14ac:dyDescent="0.25">
      <c r="A33" s="2" t="s">
        <v>5</v>
      </c>
      <c r="B33" s="46">
        <f t="shared" ref="B33:Q33" si="31">B32+B27</f>
        <v>0</v>
      </c>
      <c r="C33" s="46">
        <f t="shared" si="31"/>
        <v>1875</v>
      </c>
      <c r="D33" s="46">
        <f t="shared" si="31"/>
        <v>1875</v>
      </c>
      <c r="E33" s="46">
        <f t="shared" si="31"/>
        <v>221.33990875473927</v>
      </c>
      <c r="F33" s="46">
        <f t="shared" si="31"/>
        <v>96.725674515565288</v>
      </c>
      <c r="G33" s="46">
        <f t="shared" si="31"/>
        <v>117.09915974156316</v>
      </c>
      <c r="H33" s="46">
        <f t="shared" si="31"/>
        <v>234.34346040689991</v>
      </c>
      <c r="I33" s="46">
        <f t="shared" si="31"/>
        <v>1875</v>
      </c>
      <c r="J33" s="46">
        <f t="shared" si="31"/>
        <v>825.96474365693859</v>
      </c>
      <c r="K33" s="46">
        <f t="shared" si="31"/>
        <v>863.98897789073681</v>
      </c>
      <c r="L33" s="46">
        <f t="shared" si="31"/>
        <v>1433.9762001138552</v>
      </c>
      <c r="M33" s="46">
        <f t="shared" si="31"/>
        <v>824.89500129282942</v>
      </c>
      <c r="N33" s="46">
        <f t="shared" si="31"/>
        <v>0</v>
      </c>
      <c r="O33" s="46">
        <f t="shared" si="31"/>
        <v>153.20430842768837</v>
      </c>
      <c r="P33" s="46">
        <f t="shared" si="31"/>
        <v>228.46256519918441</v>
      </c>
      <c r="Q33" s="46">
        <f t="shared" si="31"/>
        <v>1875</v>
      </c>
      <c r="R33" s="38">
        <f t="shared" ref="R33" si="32">IF((R30&lt;$E$1),R20,0)</f>
        <v>0</v>
      </c>
      <c r="S33" s="45"/>
      <c r="V33" s="26"/>
    </row>
    <row r="34" spans="1:22" s="9" customFormat="1" x14ac:dyDescent="0.25">
      <c r="A34" s="5" t="s">
        <v>4</v>
      </c>
      <c r="B34" s="48">
        <f>IF((B33&gt;$E$1),($E$1),B33)</f>
        <v>0</v>
      </c>
      <c r="C34" s="48">
        <f t="shared" ref="C34:Q34" si="33">IF((C33&gt;$E$1),($E$1),C33)</f>
        <v>1875</v>
      </c>
      <c r="D34" s="48">
        <f t="shared" si="33"/>
        <v>1875</v>
      </c>
      <c r="E34" s="48">
        <f t="shared" si="33"/>
        <v>221.33990875473927</v>
      </c>
      <c r="F34" s="48">
        <f t="shared" si="33"/>
        <v>96.725674515565288</v>
      </c>
      <c r="G34" s="48">
        <f t="shared" si="33"/>
        <v>117.09915974156316</v>
      </c>
      <c r="H34" s="48">
        <f t="shared" si="33"/>
        <v>234.34346040689991</v>
      </c>
      <c r="I34" s="48">
        <f t="shared" si="33"/>
        <v>1875</v>
      </c>
      <c r="J34" s="48">
        <f t="shared" si="33"/>
        <v>825.96474365693859</v>
      </c>
      <c r="K34" s="48">
        <f t="shared" si="33"/>
        <v>863.98897789073681</v>
      </c>
      <c r="L34" s="48">
        <f t="shared" si="33"/>
        <v>1433.9762001138552</v>
      </c>
      <c r="M34" s="48">
        <f t="shared" si="33"/>
        <v>824.89500129282942</v>
      </c>
      <c r="N34" s="48">
        <f t="shared" si="33"/>
        <v>0</v>
      </c>
      <c r="O34" s="48">
        <f t="shared" si="33"/>
        <v>153.20430842768837</v>
      </c>
      <c r="P34" s="48">
        <f t="shared" si="33"/>
        <v>228.46256519918441</v>
      </c>
      <c r="Q34" s="48">
        <f t="shared" si="33"/>
        <v>1875</v>
      </c>
      <c r="R34" s="38">
        <f t="shared" ref="R34" si="34">IF((R31&lt;$E$1),R21,0)</f>
        <v>0</v>
      </c>
      <c r="S34" s="45"/>
      <c r="V34" s="26"/>
    </row>
    <row r="35" spans="1:22" s="9" customFormat="1" x14ac:dyDescent="0.25">
      <c r="A35" s="8" t="s">
        <v>6</v>
      </c>
      <c r="B35" s="36">
        <f>B33-B34</f>
        <v>0</v>
      </c>
      <c r="C35" s="36">
        <f t="shared" ref="C35:Q35" si="35">C33-C34</f>
        <v>0</v>
      </c>
      <c r="D35" s="36">
        <f t="shared" si="35"/>
        <v>0</v>
      </c>
      <c r="E35" s="36">
        <f t="shared" si="35"/>
        <v>0</v>
      </c>
      <c r="F35" s="36">
        <f t="shared" si="35"/>
        <v>0</v>
      </c>
      <c r="G35" s="36">
        <f t="shared" si="35"/>
        <v>0</v>
      </c>
      <c r="H35" s="36">
        <f t="shared" si="35"/>
        <v>0</v>
      </c>
      <c r="I35" s="36">
        <f t="shared" si="35"/>
        <v>0</v>
      </c>
      <c r="J35" s="36">
        <f t="shared" si="35"/>
        <v>0</v>
      </c>
      <c r="K35" s="36">
        <f t="shared" si="35"/>
        <v>0</v>
      </c>
      <c r="L35" s="36">
        <f t="shared" si="35"/>
        <v>0</v>
      </c>
      <c r="M35" s="36">
        <f t="shared" si="35"/>
        <v>0</v>
      </c>
      <c r="N35" s="36">
        <f t="shared" si="35"/>
        <v>0</v>
      </c>
      <c r="O35" s="36">
        <f t="shared" si="35"/>
        <v>0</v>
      </c>
      <c r="P35" s="36">
        <f t="shared" si="35"/>
        <v>0</v>
      </c>
      <c r="Q35" s="36">
        <f t="shared" si="35"/>
        <v>0</v>
      </c>
      <c r="R35" s="38">
        <f t="shared" ref="R35" si="36">IF((R32&lt;$E$1),R22,0)</f>
        <v>0</v>
      </c>
      <c r="S35" s="45"/>
      <c r="V35" s="26"/>
    </row>
    <row r="36" spans="1:22" ht="15" customHeight="1" x14ac:dyDescent="0.25"/>
    <row r="37" spans="1:22" x14ac:dyDescent="0.25">
      <c r="A37" s="10" t="s">
        <v>14</v>
      </c>
      <c r="B37" s="40">
        <f>B34</f>
        <v>0</v>
      </c>
      <c r="C37" s="17">
        <f t="shared" ref="C37:Q37" si="37">C34</f>
        <v>1875</v>
      </c>
      <c r="D37" s="17">
        <f t="shared" si="37"/>
        <v>1875</v>
      </c>
      <c r="E37" s="17">
        <f t="shared" si="37"/>
        <v>221.33990875473927</v>
      </c>
      <c r="F37" s="17">
        <f t="shared" si="37"/>
        <v>96.725674515565288</v>
      </c>
      <c r="G37" s="17">
        <f t="shared" si="37"/>
        <v>117.09915974156316</v>
      </c>
      <c r="H37" s="17">
        <f t="shared" si="37"/>
        <v>234.34346040689991</v>
      </c>
      <c r="I37" s="17">
        <f t="shared" si="37"/>
        <v>1875</v>
      </c>
      <c r="J37" s="17">
        <f t="shared" si="37"/>
        <v>825.96474365693859</v>
      </c>
      <c r="K37" s="17">
        <f t="shared" si="37"/>
        <v>863.98897789073681</v>
      </c>
      <c r="L37" s="17">
        <f t="shared" si="37"/>
        <v>1433.9762001138552</v>
      </c>
      <c r="M37" s="17">
        <f t="shared" si="37"/>
        <v>824.89500129282942</v>
      </c>
      <c r="N37" s="17">
        <f t="shared" si="37"/>
        <v>0</v>
      </c>
      <c r="O37" s="17">
        <f t="shared" si="37"/>
        <v>153.20430842768837</v>
      </c>
      <c r="P37" s="17">
        <f t="shared" si="37"/>
        <v>228.46256519918441</v>
      </c>
      <c r="Q37" s="17">
        <f t="shared" si="37"/>
        <v>1875</v>
      </c>
      <c r="R37" s="17">
        <f t="shared" ref="R37" si="38">R27</f>
        <v>0</v>
      </c>
      <c r="S37" s="17">
        <f>SUM(B37:R37)</f>
        <v>12500</v>
      </c>
    </row>
  </sheetData>
  <mergeCells count="5">
    <mergeCell ref="I2:L3"/>
    <mergeCell ref="N7:O7"/>
    <mergeCell ref="B7:C7"/>
    <mergeCell ref="E7:G7"/>
    <mergeCell ref="J7:M7"/>
  </mergeCells>
  <phoneticPr fontId="7" type="noConversion"/>
  <pageMargins left="0.25" right="0.25" top="0.75" bottom="0.75" header="0.3" footer="0.3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D17E-4DC9-4C4E-AA31-3A4633AE2FFB}">
  <dimension ref="L1:L5"/>
  <sheetViews>
    <sheetView workbookViewId="0">
      <selection activeCell="L1" sqref="L1:L5"/>
    </sheetView>
  </sheetViews>
  <sheetFormatPr baseColWidth="10" defaultRowHeight="15" x14ac:dyDescent="0.25"/>
  <sheetData>
    <row r="1" spans="12:12" x14ac:dyDescent="0.25">
      <c r="L1">
        <v>1240.2</v>
      </c>
    </row>
    <row r="2" spans="12:12" x14ac:dyDescent="0.25">
      <c r="L2">
        <f>134.91+1392.66</f>
        <v>1527.5700000000002</v>
      </c>
    </row>
    <row r="3" spans="12:12" x14ac:dyDescent="0.25">
      <c r="L3">
        <f>90+30+660+30+15</f>
        <v>825</v>
      </c>
    </row>
    <row r="4" spans="12:12" x14ac:dyDescent="0.25">
      <c r="L4">
        <f>SUM(L1:L3)</f>
        <v>3592.7700000000004</v>
      </c>
    </row>
    <row r="5" spans="12:12" x14ac:dyDescent="0.25">
      <c r="L5">
        <v>-9120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20884-0800-4753-810D-829524DA3C54}">
  <dimension ref="A1:C17"/>
  <sheetViews>
    <sheetView workbookViewId="0">
      <selection activeCell="C10" sqref="C10"/>
    </sheetView>
  </sheetViews>
  <sheetFormatPr baseColWidth="10" defaultRowHeight="15" x14ac:dyDescent="0.25"/>
  <cols>
    <col min="1" max="1" width="17.7109375" customWidth="1"/>
    <col min="2" max="2" width="11.7109375" customWidth="1"/>
    <col min="3" max="3" width="12" style="24" bestFit="1" customWidth="1"/>
    <col min="8" max="8" width="15.42578125" bestFit="1" customWidth="1"/>
  </cols>
  <sheetData>
    <row r="1" spans="1:3" x14ac:dyDescent="0.25">
      <c r="A1" s="10" t="s">
        <v>40</v>
      </c>
      <c r="B1" s="10" t="s">
        <v>41</v>
      </c>
      <c r="C1" s="41" t="s">
        <v>39</v>
      </c>
    </row>
    <row r="2" spans="1:3" x14ac:dyDescent="0.25">
      <c r="A2" s="10" t="s">
        <v>15</v>
      </c>
      <c r="B2" s="10" t="s">
        <v>38</v>
      </c>
      <c r="C2" s="41">
        <v>1875</v>
      </c>
    </row>
    <row r="3" spans="1:3" x14ac:dyDescent="0.25">
      <c r="A3" s="10" t="s">
        <v>16</v>
      </c>
      <c r="B3" s="10" t="s">
        <v>32</v>
      </c>
      <c r="C3" s="41">
        <v>1875</v>
      </c>
    </row>
    <row r="4" spans="1:3" x14ac:dyDescent="0.25">
      <c r="A4" s="10" t="s">
        <v>19</v>
      </c>
      <c r="B4" s="10" t="s">
        <v>20</v>
      </c>
      <c r="C4" s="41">
        <v>232</v>
      </c>
    </row>
    <row r="5" spans="1:3" x14ac:dyDescent="0.25">
      <c r="A5" s="10" t="s">
        <v>19</v>
      </c>
      <c r="B5" s="10" t="s">
        <v>21</v>
      </c>
      <c r="C5" s="41">
        <v>101</v>
      </c>
    </row>
    <row r="6" spans="1:3" x14ac:dyDescent="0.25">
      <c r="A6" s="10" t="s">
        <v>19</v>
      </c>
      <c r="B6" s="10" t="s">
        <v>29</v>
      </c>
      <c r="C6" s="41">
        <v>123</v>
      </c>
    </row>
    <row r="7" spans="1:3" x14ac:dyDescent="0.25">
      <c r="A7" s="10" t="s">
        <v>31</v>
      </c>
      <c r="B7" s="10" t="s">
        <v>32</v>
      </c>
      <c r="C7" s="41">
        <v>246</v>
      </c>
    </row>
    <row r="8" spans="1:3" x14ac:dyDescent="0.25">
      <c r="A8" s="10" t="s">
        <v>42</v>
      </c>
      <c r="B8" s="10" t="s">
        <v>23</v>
      </c>
      <c r="C8" s="41">
        <v>1875</v>
      </c>
    </row>
    <row r="9" spans="1:3" x14ac:dyDescent="0.25">
      <c r="A9" s="10" t="s">
        <v>43</v>
      </c>
      <c r="B9" s="10" t="s">
        <v>25</v>
      </c>
      <c r="C9" s="41">
        <v>865</v>
      </c>
    </row>
    <row r="10" spans="1:3" x14ac:dyDescent="0.25">
      <c r="A10" s="10" t="s">
        <v>43</v>
      </c>
      <c r="B10" s="10" t="s">
        <v>20</v>
      </c>
      <c r="C10" s="41">
        <v>905</v>
      </c>
    </row>
    <row r="11" spans="1:3" x14ac:dyDescent="0.25">
      <c r="A11" s="10" t="s">
        <v>43</v>
      </c>
      <c r="B11" s="10" t="s">
        <v>26</v>
      </c>
      <c r="C11" s="41">
        <v>1503</v>
      </c>
    </row>
    <row r="12" spans="1:3" x14ac:dyDescent="0.25">
      <c r="A12" s="10" t="s">
        <v>43</v>
      </c>
      <c r="B12" s="10" t="s">
        <v>21</v>
      </c>
      <c r="C12" s="41">
        <v>864</v>
      </c>
    </row>
    <row r="13" spans="1:3" x14ac:dyDescent="0.25">
      <c r="A13" s="10" t="s">
        <v>44</v>
      </c>
      <c r="B13" s="10" t="s">
        <v>27</v>
      </c>
      <c r="C13" s="41">
        <v>161</v>
      </c>
    </row>
    <row r="14" spans="1:3" x14ac:dyDescent="0.25">
      <c r="A14" s="10" t="s">
        <v>37</v>
      </c>
      <c r="B14" s="10" t="s">
        <v>32</v>
      </c>
      <c r="C14" s="41">
        <v>1875</v>
      </c>
    </row>
    <row r="15" spans="1:3" x14ac:dyDescent="0.25">
      <c r="A15" s="10" t="s">
        <v>36</v>
      </c>
      <c r="B15" s="10" t="s">
        <v>35</v>
      </c>
      <c r="C15" s="41">
        <v>0</v>
      </c>
    </row>
    <row r="16" spans="1:3" x14ac:dyDescent="0.25">
      <c r="A16" s="10" t="s">
        <v>45</v>
      </c>
      <c r="B16" s="10" t="s">
        <v>32</v>
      </c>
      <c r="C16" s="41">
        <v>0</v>
      </c>
    </row>
    <row r="17" spans="1:3" x14ac:dyDescent="0.25">
      <c r="A17" s="10" t="s">
        <v>46</v>
      </c>
      <c r="B17" s="10"/>
      <c r="C17" s="41">
        <f>SUM(C2:C16)</f>
        <v>12500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Récap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Custinne</dc:creator>
  <cp:lastModifiedBy>Sabine Colas</cp:lastModifiedBy>
  <cp:lastPrinted>2023-11-21T10:22:21Z</cp:lastPrinted>
  <dcterms:created xsi:type="dcterms:W3CDTF">2016-07-01T13:09:17Z</dcterms:created>
  <dcterms:modified xsi:type="dcterms:W3CDTF">2023-12-11T07:39:53Z</dcterms:modified>
</cp:coreProperties>
</file>